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Page1" sheetId="1" r:id="rId1"/>
  </sheets>
  <definedNames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<sst xmlns="http://schemas.openxmlformats.org/spreadsheetml/2006/main" count="166" uniqueCount="60">
  <si>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</si>
  <si>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</si>
  <si>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</si>
  <si>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</si>
  <si>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</si>
  <si>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</si>
  <si>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</si>
  <si>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</si>
  <si>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</si>
  <si>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</si>
  <si>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</si>
  <si>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</si>
  <si>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</si>
  <si>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</si>
  <si>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</si>
  <si>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</si>
  <si>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</si>
  <si>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</si>
  <si>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</si>
  <si>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</si>
  <si>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</si>
  <si>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</si>
  <si>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</si>
  <si>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</si>
  <si>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</si>
  <si>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</si>
  <si>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</si>
  <si>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</si>
  <si>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</si>
  <si>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</si>
  <si>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</si>
  <si>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</si>
  <si>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</si>
  <si>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</si>
  <si>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</si>
  <si>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</si>
  <si>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</si>
  <si>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</si>
  <si>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</si>
  <si>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</si>
  <si>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</si>
  <si>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</si>
  <si>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</si>
  <si>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</si>
  <si>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</si>
  <si>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</si>
  <si>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</si>
  <si>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</si>
  <si>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</si>
  <si>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</si>
  <si>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</si>
  <si>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</si>
  <si>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</si>
  <si>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</si>
  <si>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</si>
  <si>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</si>
  <si>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</si>
  <si>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</si>
  <si>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Сведения об использовании показателей результативности деятельности медицинских организаций  по состоянию на 1 сентября2022. *</t>
  </si>
  <si>
    <t>Субъект Российской Федерации:  Курганская область (ГБУ  "Шумихинская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</si>
</sst>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0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="150" zoomScaleNormal="150" zoomScalePageLayoutView="0" workbookViewId="0" topLeftCell="A1">
      <pane ySplit="5" topLeftCell="A39" activePane="bottomLeft" state="frozen"/>
      <selection pane="topLeft" activeCell="A1" sqref="A1"/>
      <selection pane="bottomLeft" activeCell="H31" sqref="H31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7" width="10.7109375" style="0" customWidth="1"/>
    <col min="8" max="8" width="10.7109375" style="10" customWidth="1"/>
    <col min="9" max="9" width="12.8515625" style="0" customWidth="1"/>
    <col min="10" max="10" width="20.00390625" style="0" customWidth="1"/>
    <col min="11" max="11" width="0.13671875" style="0" customWidth="1"/>
  </cols>
  <sheetData>
    <row r="1" ht="15">
      <c r="A1" s="8"/>
    </row>
    <row r="2" spans="1:11" ht="22.5" customHeight="1">
      <c r="A2" s="20" t="s">
        <v>58</v>
      </c>
      <c r="B2" s="20" t="s">
        <v>0</v>
      </c>
      <c r="C2" s="20" t="s">
        <v>0</v>
      </c>
      <c r="D2" s="20" t="s">
        <v>0</v>
      </c>
      <c r="E2" s="20" t="s">
        <v>0</v>
      </c>
      <c r="F2" s="20" t="s">
        <v>0</v>
      </c>
      <c r="G2" s="20" t="s">
        <v>0</v>
      </c>
      <c r="H2" s="20" t="s">
        <v>0</v>
      </c>
      <c r="I2" s="20" t="s">
        <v>0</v>
      </c>
      <c r="J2" s="20" t="s">
        <v>0</v>
      </c>
      <c r="K2" s="20" t="s">
        <v>0</v>
      </c>
    </row>
    <row r="3" spans="1:11" ht="20.25" customHeight="1">
      <c r="A3" s="20" t="s">
        <v>59</v>
      </c>
      <c r="B3" s="20" t="s">
        <v>1</v>
      </c>
      <c r="C3" s="20" t="s">
        <v>1</v>
      </c>
      <c r="D3" s="20" t="s">
        <v>1</v>
      </c>
      <c r="E3" s="20" t="s">
        <v>1</v>
      </c>
      <c r="F3" s="20" t="s">
        <v>1</v>
      </c>
      <c r="G3" s="20" t="s">
        <v>1</v>
      </c>
      <c r="H3" s="20" t="s">
        <v>1</v>
      </c>
      <c r="I3" s="20" t="s">
        <v>1</v>
      </c>
      <c r="J3" s="20" t="s">
        <v>1</v>
      </c>
      <c r="K3" s="20" t="s">
        <v>1</v>
      </c>
    </row>
    <row r="4" ht="3" customHeight="1"/>
    <row r="5" spans="1:10" ht="93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11" t="s">
        <v>14</v>
      </c>
      <c r="I5" s="5" t="s">
        <v>16</v>
      </c>
      <c r="J5" s="3" t="s">
        <v>18</v>
      </c>
    </row>
    <row r="6" spans="1:10" ht="15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12" t="s">
        <v>15</v>
      </c>
      <c r="I6" s="3" t="s">
        <v>17</v>
      </c>
      <c r="J6" s="3" t="s">
        <v>19</v>
      </c>
    </row>
    <row r="7" spans="1:10" ht="15.75" customHeight="1">
      <c r="A7" s="4"/>
      <c r="B7" s="18" t="s">
        <v>51</v>
      </c>
      <c r="C7" s="18"/>
      <c r="D7" s="18"/>
      <c r="E7" s="18"/>
      <c r="F7" s="18"/>
      <c r="G7" s="18"/>
      <c r="H7" s="13">
        <f>SUM(H8:H23)</f>
        <v>12.5</v>
      </c>
      <c r="I7" s="9">
        <f>IF(V_пр_1_8&gt;0,1,0)</f>
        <v>1</v>
      </c>
      <c r="J7" s="4"/>
    </row>
    <row r="8" spans="1:10" ht="17.25" customHeight="1">
      <c r="A8" s="4" t="s">
        <v>20</v>
      </c>
      <c r="B8" s="2">
        <v>0.17774950850005786</v>
      </c>
      <c r="C8" s="4" t="s">
        <v>50</v>
      </c>
      <c r="D8" s="4" t="s">
        <v>50</v>
      </c>
      <c r="E8" s="2">
        <v>0.154283387045366</v>
      </c>
      <c r="F8" s="2">
        <f>IF(AND(B8=0,E8&gt;0),100,(IF(B8=0,0,E8/B8*100-100)))</f>
        <v>-13.201792597184152</v>
      </c>
      <c r="G8" s="4" t="s">
        <v>50</v>
      </c>
      <c r="H8" s="14">
        <f>IF(F8&lt;3,0,(IF(F8&gt;=7,1,0.5)))</f>
        <v>0</v>
      </c>
      <c r="I8" s="4">
        <f>IF(OR(V_пр_2_2&gt;0,V_пр_2_5&gt;0,V_пр_2_6&gt;0),1,0)</f>
        <v>1</v>
      </c>
      <c r="J8" s="4"/>
    </row>
    <row r="9" spans="1:10" ht="37.5" customHeight="1">
      <c r="A9" s="4" t="s">
        <v>21</v>
      </c>
      <c r="B9" s="2">
        <v>0.6829268292682926</v>
      </c>
      <c r="C9" s="4" t="s">
        <v>50</v>
      </c>
      <c r="D9" s="4" t="s">
        <v>50</v>
      </c>
      <c r="E9" s="2">
        <v>0.6086956521739131</v>
      </c>
      <c r="F9" s="2">
        <f>IF(AND(B9=0,E9&gt;0),100,(IF(B9=0,0,E9/B9*100-100)))</f>
        <v>-10.869565217391283</v>
      </c>
      <c r="G9" s="4" t="s">
        <v>50</v>
      </c>
      <c r="H9" s="14">
        <f>IF(F9&lt;5,0,(IF(F9&gt;=10,2,1)))</f>
        <v>0</v>
      </c>
      <c r="I9" s="16">
        <f>IF(OR(V_пр_3_2&gt;0,V_пр_3_5&gt;0,V_пр_3_6&gt;0),1,0)</f>
        <v>1</v>
      </c>
      <c r="J9" s="4"/>
    </row>
    <row r="10" spans="1:10" ht="37.5" customHeight="1">
      <c r="A10" s="4" t="s">
        <v>22</v>
      </c>
      <c r="B10" s="2">
        <v>0.0625</v>
      </c>
      <c r="C10" s="4" t="s">
        <v>50</v>
      </c>
      <c r="D10" s="4" t="s">
        <v>50</v>
      </c>
      <c r="E10" s="2">
        <v>0.06666666666666667</v>
      </c>
      <c r="F10" s="2">
        <f>IF(AND(B10=0,E10&gt;0),100,(IF(B10=0,0,E10/B10*100-100)))</f>
        <v>6.666666666666671</v>
      </c>
      <c r="G10" s="4" t="s">
        <v>50</v>
      </c>
      <c r="H10" s="14">
        <f>IF(F10&lt;5,0,(IF(F10&gt;=10,1,0.5)))</f>
        <v>0.5</v>
      </c>
      <c r="I10" s="16">
        <f>IF(OR(V_пр_4_2&gt;0,V_пр_4_5&gt;0,V_пр_4_6&gt;0),1,0)</f>
        <v>1</v>
      </c>
      <c r="J10" s="4"/>
    </row>
    <row r="11" spans="1:10" ht="37.5" customHeight="1">
      <c r="A11" s="4" t="s">
        <v>23</v>
      </c>
      <c r="B11" s="2">
        <v>0.25</v>
      </c>
      <c r="C11" s="4" t="s">
        <v>50</v>
      </c>
      <c r="D11" s="4" t="s">
        <v>50</v>
      </c>
      <c r="E11" s="2">
        <v>0.09090909090909091</v>
      </c>
      <c r="F11" s="2">
        <f>IF(AND(B11=0,E11&gt;0),100,(IF(B11=0,0,E11/B11*100-100)))</f>
        <v>-63.63636363636363</v>
      </c>
      <c r="G11" s="4" t="s">
        <v>50</v>
      </c>
      <c r="H11" s="14">
        <f>IF(F11&lt;5,0,(IF(F11&gt;=10,1,0.5)))</f>
        <v>0</v>
      </c>
      <c r="I11" s="16">
        <f>IF(OR(V_пр_5_2&gt;0,V_пр_5_5&gt;0,V_пр_5_6&gt;0),1,0)</f>
        <v>1</v>
      </c>
      <c r="J11" s="4"/>
    </row>
    <row r="12" spans="1:10" ht="37.5" customHeight="1">
      <c r="A12" s="4" t="s">
        <v>24</v>
      </c>
      <c r="B12" s="2">
        <v>0.04878048780487805</v>
      </c>
      <c r="C12" s="4" t="s">
        <v>50</v>
      </c>
      <c r="D12" s="4" t="s">
        <v>50</v>
      </c>
      <c r="E12" s="2">
        <v>0.07017543859649122</v>
      </c>
      <c r="F12" s="2">
        <f>IF(AND(B12=0,E12&gt;0),100,(IF(B12=0,0,E12/B12*100-100)))</f>
        <v>43.859649122806985</v>
      </c>
      <c r="G12" s="4" t="s">
        <v>50</v>
      </c>
      <c r="H12" s="14">
        <f>IF(F12&lt;5,0,(IF(F12&gt;=10,1,0.5)))</f>
        <v>1</v>
      </c>
      <c r="I12" s="16">
        <f>IF(OR(V_пр_6_2&gt;0,V_пр_6_5&gt;0,V_пр_6_6&gt;0),1,0)</f>
        <v>1</v>
      </c>
      <c r="J12" s="4"/>
    </row>
    <row r="13" spans="1:10" ht="16.5" customHeight="1">
      <c r="A13" s="4" t="s">
        <v>25</v>
      </c>
      <c r="B13" s="4">
        <v>0</v>
      </c>
      <c r="C13" s="2">
        <v>0.633</v>
      </c>
      <c r="D13" s="4" t="s">
        <v>50</v>
      </c>
      <c r="E13" s="2">
        <v>0.759</v>
      </c>
      <c r="F13" s="4" t="s">
        <v>50</v>
      </c>
      <c r="G13" s="2">
        <f>IF(C13=0,0,E13/C13*100)</f>
        <v>119.90521327014218</v>
      </c>
      <c r="H13" s="14">
        <f>IF(G13&gt;=100,2,0)</f>
        <v>2</v>
      </c>
      <c r="I13" s="16">
        <f>IF(OR(V_пр_7_3&gt;0,V_пр_7_5&gt;0,V_пр_7_7&gt;0),1,0)</f>
        <v>1</v>
      </c>
      <c r="J13" s="4"/>
    </row>
    <row r="14" spans="1:10" ht="37.5" customHeight="1">
      <c r="A14" s="4" t="s">
        <v>26</v>
      </c>
      <c r="B14" s="2">
        <v>0.03470893686799672</v>
      </c>
      <c r="C14" s="4" t="s">
        <v>50</v>
      </c>
      <c r="D14" s="4" t="s">
        <v>50</v>
      </c>
      <c r="E14" s="2">
        <v>0.04882301656495205</v>
      </c>
      <c r="F14" s="2">
        <f>IF(AND(B14=0,E14&gt;0),100,(IF(B14=0,0,E14/B14*100-100)))</f>
        <v>40.66410835524374</v>
      </c>
      <c r="G14" s="4" t="s">
        <v>50</v>
      </c>
      <c r="H14" s="14">
        <f>IF(F14&lt;3,0,(IF(F14&gt;=7,2,1)))</f>
        <v>2</v>
      </c>
      <c r="I14" s="16">
        <f>IF(OR(V_пр_8_2&gt;0,V_пр_8_5&gt;0,V_пр_8_6&gt;0),1,0)</f>
        <v>1</v>
      </c>
      <c r="J14" s="4"/>
    </row>
    <row r="15" spans="1:10" ht="37.5" customHeight="1">
      <c r="A15" s="4" t="s">
        <v>27</v>
      </c>
      <c r="B15" s="2">
        <v>0.48073244055752934</v>
      </c>
      <c r="C15" s="4" t="s">
        <v>50</v>
      </c>
      <c r="D15" s="4" t="s">
        <v>50</v>
      </c>
      <c r="E15" s="2">
        <v>0.5050857308921826</v>
      </c>
      <c r="F15" s="2">
        <f>IF(AND(B15=0,E15&gt;0),100,(IF(B15=0,0,E15/B15*100-100)))</f>
        <v>5.0658720485785125</v>
      </c>
      <c r="G15" s="4" t="s">
        <v>50</v>
      </c>
      <c r="H15" s="14">
        <f>IF(F15&gt;-5,0,(IF(F15&lt;=-10,1,0.5)))</f>
        <v>0</v>
      </c>
      <c r="I15" s="16">
        <f>IF(OR(V_пр_9_2&gt;0,V_пр_9_5&gt;0,V_пр_9_6&gt;0),1,0)</f>
        <v>1</v>
      </c>
      <c r="J15" s="4"/>
    </row>
    <row r="16" spans="1:10" ht="27" customHeight="1">
      <c r="A16" s="4" t="s">
        <v>28</v>
      </c>
      <c r="B16" s="4">
        <v>0.026090420235012946</v>
      </c>
      <c r="C16" s="2">
        <v>1</v>
      </c>
      <c r="D16" s="4" t="s">
        <v>50</v>
      </c>
      <c r="E16" s="2">
        <v>0.037252861602497404</v>
      </c>
      <c r="F16" s="4" t="s">
        <v>50</v>
      </c>
      <c r="G16" s="2">
        <f>IF(C16=0,0,E16/C16*100)</f>
        <v>3.7252861602497402</v>
      </c>
      <c r="H16" s="14">
        <f>IF(G16&gt;=100,1,0)</f>
        <v>0</v>
      </c>
      <c r="I16" s="16">
        <f>IF(OR(V_пр_10_3&gt;0,V_пр_10_5&gt;0,V_пр_10_7&gt;0),1,0)</f>
        <v>1</v>
      </c>
      <c r="J16" s="4"/>
    </row>
    <row r="17" spans="1:10" ht="37.5" customHeight="1">
      <c r="A17" s="4" t="s">
        <v>29</v>
      </c>
      <c r="B17" s="4">
        <v>0.031088082901554407</v>
      </c>
      <c r="C17" s="2">
        <v>1</v>
      </c>
      <c r="D17" s="4" t="s">
        <v>50</v>
      </c>
      <c r="E17" s="2">
        <v>0.017241379310344827</v>
      </c>
      <c r="F17" s="4" t="s">
        <v>50</v>
      </c>
      <c r="G17" s="2">
        <f>IF(C17=0,0,E17/C17*100)</f>
        <v>1.7241379310344827</v>
      </c>
      <c r="H17" s="14">
        <f>IF(G17&gt;=100,1,0)</f>
        <v>0</v>
      </c>
      <c r="I17" s="16">
        <f>IF(OR(V_пр_11_3&gt;0,V_пр_11_5&gt;0,V_пр_11_7&gt;0),1,0)</f>
        <v>1</v>
      </c>
      <c r="J17" s="4"/>
    </row>
    <row r="18" spans="1:10" ht="27" customHeight="1">
      <c r="A18" s="4" t="s">
        <v>30</v>
      </c>
      <c r="B18" s="4">
        <v>0.04229607250755287</v>
      </c>
      <c r="C18" s="2">
        <v>1</v>
      </c>
      <c r="D18" s="4" t="s">
        <v>50</v>
      </c>
      <c r="E18" s="2">
        <v>0.06989028850060951</v>
      </c>
      <c r="F18" s="4" t="s">
        <v>50</v>
      </c>
      <c r="G18" s="2">
        <f>IF(C18=0,0,E18/C18*100)</f>
        <v>6.989028850060951</v>
      </c>
      <c r="H18" s="14">
        <f>IF(G18&gt;=100,1,0)</f>
        <v>0</v>
      </c>
      <c r="I18" s="16">
        <f>IF(OR(V_пр_12_3&gt;0,V_пр_12_5&gt;0,V_пр_12_7&gt;0),1,0)</f>
        <v>1</v>
      </c>
      <c r="J18" s="4"/>
    </row>
    <row r="19" spans="1:10" ht="37.5" customHeight="1">
      <c r="A19" s="4" t="s">
        <v>31</v>
      </c>
      <c r="B19" s="2">
        <v>0.5852066715010877</v>
      </c>
      <c r="C19" s="4" t="s">
        <v>50</v>
      </c>
      <c r="D19" s="4" t="s">
        <v>50</v>
      </c>
      <c r="E19" s="2">
        <v>0.4980574980574981</v>
      </c>
      <c r="F19" s="2">
        <f>IF(AND(B19=0,E19&gt;0),100,(IF(B19=0,0,E19/B19*100-100)))</f>
        <v>-14.892033479394058</v>
      </c>
      <c r="G19" s="4" t="s">
        <v>50</v>
      </c>
      <c r="H19" s="14">
        <f>IF(F19&gt;-5,0,(IF(F19&lt;=-10,1,0.5)))</f>
        <v>1</v>
      </c>
      <c r="I19" s="16">
        <f>IF(OR(V_пр_13_2&gt;0,V_пр_13_5&gt;0,V_пр_13_6&gt;0),1,0)</f>
        <v>1</v>
      </c>
      <c r="J19" s="4"/>
    </row>
    <row r="20" spans="1:10" ht="36.75" customHeight="1">
      <c r="A20" s="4" t="s">
        <v>32</v>
      </c>
      <c r="B20" s="2">
        <v>0</v>
      </c>
      <c r="C20" s="4" t="s">
        <v>50</v>
      </c>
      <c r="D20" s="4" t="s">
        <v>50</v>
      </c>
      <c r="E20" s="2">
        <v>0.12095400340715502</v>
      </c>
      <c r="F20" s="2">
        <f>IF(AND(B20=0,E20&gt;0),100,(IF(B20=0,0,E20/B20*100-100)))</f>
        <v>100</v>
      </c>
      <c r="G20" s="4" t="s">
        <v>50</v>
      </c>
      <c r="H20" s="14">
        <f>IF(F20&gt;-3,0,(IF(F20&lt;=-7,2,1)))</f>
        <v>0</v>
      </c>
      <c r="I20" s="16">
        <f>IF(OR(V_пр_14_2&gt;0,V_пр_14_5&gt;0,V_пр_14_6&gt;0),1,0)</f>
        <v>1</v>
      </c>
      <c r="J20" s="4"/>
    </row>
    <row r="21" spans="1:10" ht="36.75" customHeight="1">
      <c r="A21" s="4" t="s">
        <v>33</v>
      </c>
      <c r="B21" s="2">
        <v>0.002816082962698076</v>
      </c>
      <c r="C21" s="4" t="s">
        <v>50</v>
      </c>
      <c r="D21" s="4" t="s">
        <v>50</v>
      </c>
      <c r="E21" s="2">
        <v>0.0037016313003056</v>
      </c>
      <c r="F21" s="2">
        <f>IF(AND(B21=0,E21&gt;0),100,(IF(B21=0,0,E21/B21*100-100)))</f>
        <v>31.44610259489957</v>
      </c>
      <c r="G21" s="4" t="s">
        <v>50</v>
      </c>
      <c r="H21" s="14">
        <f>IF(F21&gt;-5,0,(IF(F21&lt;=-10,1,0.5)))</f>
        <v>0</v>
      </c>
      <c r="I21" s="16">
        <f>IF(OR(V_пр_15_2&gt;0,V_пр_15_5&gt;0,V_пр_15_6&gt;0),1,0)</f>
        <v>1</v>
      </c>
      <c r="J21" s="4"/>
    </row>
    <row r="22" spans="1:10" ht="15.75" customHeight="1">
      <c r="A22" s="4" t="s">
        <v>34</v>
      </c>
      <c r="B22" s="4">
        <v>0</v>
      </c>
      <c r="C22" s="4" t="s">
        <v>50</v>
      </c>
      <c r="D22" s="2">
        <v>0.11483333333333334</v>
      </c>
      <c r="E22" s="2">
        <v>0.1019</v>
      </c>
      <c r="F22" s="2">
        <f>IF(AND(D22=0,E22&gt;0),100,(IF(D22=0,0,E22/D22*100-100)))</f>
        <v>-11.26269956458637</v>
      </c>
      <c r="G22" s="4" t="s">
        <v>50</v>
      </c>
      <c r="H22" s="14">
        <f>IF(F22&gt;-2,0,(IF(AND(F22&lt;=-2,F22&gt;-5),1,IF(AND(F22&lt;=-5,F22&gt;-10),2,3))))</f>
        <v>3</v>
      </c>
      <c r="I22" s="16">
        <f>IF(OR(V_пр_16_4&gt;0,V_пр_16_5&gt;0,V_пр_16_6&gt;0),1,0)</f>
        <v>1</v>
      </c>
      <c r="J22" s="4"/>
    </row>
    <row r="23" spans="1:10" ht="26.25" customHeight="1">
      <c r="A23" s="4" t="s">
        <v>35</v>
      </c>
      <c r="B23" s="4">
        <v>0</v>
      </c>
      <c r="C23" s="4" t="s">
        <v>50</v>
      </c>
      <c r="D23" s="2">
        <v>0.013156937513732253</v>
      </c>
      <c r="E23" s="2">
        <v>0.010825119442172772</v>
      </c>
      <c r="F23" s="2">
        <f>IF(AND(D23=0,E23&gt;0),100,(IF(D23=0,0,E23/D23*100-100)))</f>
        <v>-17.72310668136639</v>
      </c>
      <c r="G23" s="4" t="s">
        <v>50</v>
      </c>
      <c r="H23" s="14">
        <f>IF(F23&gt;-3,0,(IF(F23&lt;=-7,3,1.5)))</f>
        <v>3</v>
      </c>
      <c r="I23" s="16">
        <f>IF(OR(V_пр_17_4&gt;0,V_пр_17_5&gt;0,V_пр_17_6&gt;0),1,0)</f>
        <v>1</v>
      </c>
      <c r="J23" s="4"/>
    </row>
    <row r="24" spans="1:10" ht="15">
      <c r="A24" s="4"/>
      <c r="B24" s="18" t="s">
        <v>52</v>
      </c>
      <c r="C24" s="18"/>
      <c r="D24" s="18"/>
      <c r="E24" s="18"/>
      <c r="F24" s="18"/>
      <c r="G24" s="18"/>
      <c r="H24" s="14">
        <f>SUM(H25:H31)</f>
        <v>10</v>
      </c>
      <c r="I24" s="16">
        <f>IF(OR(V_пр_2_2&gt;0,V_пр_2_5&gt;0,V_пр_2_6&gt;0),1,0)</f>
        <v>1</v>
      </c>
      <c r="J24" s="4"/>
    </row>
    <row r="25" spans="1:10" ht="15.75" customHeight="1">
      <c r="A25" s="4" t="s">
        <v>36</v>
      </c>
      <c r="B25" s="4">
        <v>0</v>
      </c>
      <c r="C25" s="2">
        <v>0.633</v>
      </c>
      <c r="D25" s="4" t="s">
        <v>50</v>
      </c>
      <c r="E25" s="2">
        <v>0.65</v>
      </c>
      <c r="F25" s="4" t="s">
        <v>50</v>
      </c>
      <c r="G25" s="2">
        <f aca="true" t="shared" si="0" ref="G25:G30">IF(C25=0,0,E25/C25*100)</f>
        <v>102.68562401263823</v>
      </c>
      <c r="H25" s="14">
        <f aca="true" t="shared" si="1" ref="H25:H30">IF(G25&gt;=100,1,0)</f>
        <v>1</v>
      </c>
      <c r="I25" s="16">
        <f>IF(OR(V_пр_19_3&gt;0,V_пр_19_5&gt;0,V_пр_19_7&gt;0),1,0)</f>
        <v>1</v>
      </c>
      <c r="J25" s="4"/>
    </row>
    <row r="26" spans="1:10" ht="36.75" customHeight="1">
      <c r="A26" s="4" t="s">
        <v>37</v>
      </c>
      <c r="B26" s="4">
        <v>0</v>
      </c>
      <c r="C26" s="2">
        <v>0.433</v>
      </c>
      <c r="D26" s="4" t="s">
        <v>50</v>
      </c>
      <c r="E26" s="2">
        <v>0.6364</v>
      </c>
      <c r="F26" s="4" t="s">
        <v>50</v>
      </c>
      <c r="G26" s="2">
        <f t="shared" si="0"/>
        <v>146.97459584295612</v>
      </c>
      <c r="H26" s="14">
        <f t="shared" si="1"/>
        <v>1</v>
      </c>
      <c r="I26" s="16">
        <f>IF(OR(V_пр_20_3&gt;0,V_пр_20_5&gt;0,V_пр_20_7&gt;0),1,0)</f>
        <v>1</v>
      </c>
      <c r="J26" s="4"/>
    </row>
    <row r="27" spans="1:10" ht="26.25" customHeight="1">
      <c r="A27" s="4" t="s">
        <v>38</v>
      </c>
      <c r="B27" s="4">
        <v>0</v>
      </c>
      <c r="C27" s="2">
        <v>0.467</v>
      </c>
      <c r="D27" s="4" t="s">
        <v>50</v>
      </c>
      <c r="E27" s="2">
        <v>0.709</v>
      </c>
      <c r="F27" s="4" t="s">
        <v>50</v>
      </c>
      <c r="G27" s="2">
        <f t="shared" si="0"/>
        <v>151.82012847965737</v>
      </c>
      <c r="H27" s="14">
        <f t="shared" si="1"/>
        <v>1</v>
      </c>
      <c r="I27" s="16">
        <f>IF(OR(V_пр_21_3&gt;0,V_пр_21_5&gt;0,V_пр_21_7&gt;0),1,0)</f>
        <v>1</v>
      </c>
      <c r="J27" s="4"/>
    </row>
    <row r="28" spans="1:10" ht="26.25" customHeight="1">
      <c r="A28" s="4" t="s">
        <v>39</v>
      </c>
      <c r="B28" s="4">
        <v>0</v>
      </c>
      <c r="C28" s="2">
        <v>0.467</v>
      </c>
      <c r="D28" s="4" t="s">
        <v>50</v>
      </c>
      <c r="E28" s="2">
        <v>0.698</v>
      </c>
      <c r="F28" s="4" t="s">
        <v>50</v>
      </c>
      <c r="G28" s="2">
        <f t="shared" si="0"/>
        <v>149.46466809421838</v>
      </c>
      <c r="H28" s="14">
        <f t="shared" si="1"/>
        <v>1</v>
      </c>
      <c r="I28" s="16">
        <f>IF(OR(V_пр_22_3&gt;0,V_пр_22_5&gt;0,V_пр_22_7&gt;0),1,0)</f>
        <v>1</v>
      </c>
      <c r="J28" s="4"/>
    </row>
    <row r="29" spans="1:10" ht="26.25" customHeight="1">
      <c r="A29" s="4" t="s">
        <v>40</v>
      </c>
      <c r="B29" s="4">
        <v>0</v>
      </c>
      <c r="C29" s="2">
        <v>0.533</v>
      </c>
      <c r="D29" s="4" t="s">
        <v>50</v>
      </c>
      <c r="E29" s="2">
        <v>0.8</v>
      </c>
      <c r="F29" s="4" t="s">
        <v>50</v>
      </c>
      <c r="G29" s="2">
        <f t="shared" si="0"/>
        <v>150.093808630394</v>
      </c>
      <c r="H29" s="14">
        <f>IF(G29&gt;=100,2,0)</f>
        <v>2</v>
      </c>
      <c r="I29" s="16">
        <f>IF(OR(V_пр_23_3&gt;0,V_пр_23_5&gt;0,V_пр_23_7&gt;0),1,0)</f>
        <v>1</v>
      </c>
      <c r="J29" s="4"/>
    </row>
    <row r="30" spans="1:10" ht="36.75" customHeight="1">
      <c r="A30" s="4" t="s">
        <v>41</v>
      </c>
      <c r="B30" s="4">
        <v>0</v>
      </c>
      <c r="C30" s="2">
        <v>0.5</v>
      </c>
      <c r="D30" s="4" t="s">
        <v>50</v>
      </c>
      <c r="E30" s="2">
        <v>0.75</v>
      </c>
      <c r="F30" s="4" t="s">
        <v>50</v>
      </c>
      <c r="G30" s="2">
        <f t="shared" si="0"/>
        <v>150</v>
      </c>
      <c r="H30" s="14">
        <f t="shared" si="1"/>
        <v>1</v>
      </c>
      <c r="I30" s="16">
        <f>IF(OR(V_пр_24_3&gt;0,V_пр_24_5&gt;0,V_пр_24_7&gt;0),1,0)</f>
        <v>1</v>
      </c>
      <c r="J30" s="4"/>
    </row>
    <row r="31" spans="1:10" ht="15.75" customHeight="1">
      <c r="A31" s="4" t="s">
        <v>42</v>
      </c>
      <c r="B31" s="4">
        <v>0</v>
      </c>
      <c r="C31" s="4" t="s">
        <v>50</v>
      </c>
      <c r="D31" s="2">
        <v>0.6123333333333334</v>
      </c>
      <c r="E31" s="2">
        <v>0.266</v>
      </c>
      <c r="F31" s="2">
        <f>IF(AND(D31=0,E31&gt;0),100,(IF(D31=0,0,E31/D31*100-100)))</f>
        <v>-56.559608056614046</v>
      </c>
      <c r="G31" s="4" t="s">
        <v>50</v>
      </c>
      <c r="H31" s="14">
        <f>IF(AND(D31=0,E31=0),0,IF(F31&gt;0,0,(IF(AND(F31&lt;=0,F31&gt;-2),0.5,(IF(AND(F31&lt;=-2,F31&gt;-5),1,IF(AND(F31&lt;=-5,F31&gt;-10),2,3)))))))</f>
        <v>3</v>
      </c>
      <c r="I31" s="16">
        <f>IF(OR(V_пр_25_4&gt;0,V_пр_25_5&gt;0,V_пр_25_6&gt;0),1,0)</f>
        <v>1</v>
      </c>
      <c r="J31" s="4"/>
    </row>
    <row r="32" spans="1:10" ht="15">
      <c r="A32" s="4"/>
      <c r="B32" s="18" t="s">
        <v>53</v>
      </c>
      <c r="C32" s="18"/>
      <c r="D32" s="18"/>
      <c r="E32" s="18"/>
      <c r="F32" s="18"/>
      <c r="G32" s="18"/>
      <c r="H32" s="14">
        <f>SUM(H33:H37)</f>
        <v>2</v>
      </c>
      <c r="I32" s="16">
        <f>IF(V_пр_26_8&gt;0,1,0)</f>
        <v>1</v>
      </c>
      <c r="J32" s="4"/>
    </row>
    <row r="33" spans="1:10" ht="26.25" customHeight="1">
      <c r="A33" s="4" t="s">
        <v>43</v>
      </c>
      <c r="B33" s="2">
        <v>0.3</v>
      </c>
      <c r="C33" s="4">
        <v>0</v>
      </c>
      <c r="D33" s="4" t="s">
        <v>50</v>
      </c>
      <c r="E33" s="2">
        <v>0.062</v>
      </c>
      <c r="F33" s="2">
        <f>IF(AND(B33=0,E33&gt;0),100,(IF(B33=0,0,E33/B33*100-100)))</f>
        <v>-79.33333333333333</v>
      </c>
      <c r="G33" s="4" t="s">
        <v>50</v>
      </c>
      <c r="H33" s="14">
        <f>IF(F33&lt;5,0,(IF(F33&gt;=10,1,0.5)))</f>
        <v>0</v>
      </c>
      <c r="I33" s="17">
        <f>IF(OR(V_пр_27_2&gt;0,V_пр_27_5&gt;0,V_пр_27_6&gt;0),1,0)</f>
        <v>1</v>
      </c>
      <c r="J33" s="4"/>
    </row>
    <row r="34" spans="1:10" ht="26.25" customHeight="1">
      <c r="A34" s="4" t="s">
        <v>44</v>
      </c>
      <c r="B34" s="4">
        <v>0</v>
      </c>
      <c r="C34" s="2">
        <v>0.633</v>
      </c>
      <c r="D34" s="4" t="s">
        <v>50</v>
      </c>
      <c r="E34" s="2">
        <v>0.737</v>
      </c>
      <c r="F34" s="4" t="s">
        <v>50</v>
      </c>
      <c r="G34" s="2">
        <f>IF(C34=0,0,E34/C34*100)</f>
        <v>116.42969984202212</v>
      </c>
      <c r="H34" s="14">
        <f>IF(G34&gt;=100,1,0)</f>
        <v>1</v>
      </c>
      <c r="I34" s="16">
        <f>IF(OR(V_пр_28_3&gt;0,V_пр_28_5&gt;0,V_пр_28_7&gt;0),1,0)</f>
        <v>1</v>
      </c>
      <c r="J34" s="4"/>
    </row>
    <row r="35" spans="1:10" ht="26.25" customHeight="1">
      <c r="A35" s="4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4">
        <f>IF(F35&lt;5,0,(IF(F35&gt;=10,1,0.5)))</f>
        <v>0</v>
      </c>
      <c r="I35" s="16">
        <f>IF(OR(V_пр_29_2&gt;0,V_пр_29_5&gt;0,V_пр_29_6&gt;0),1,0)</f>
        <v>0</v>
      </c>
      <c r="J35" s="4"/>
    </row>
    <row r="36" spans="1:10" ht="26.25" customHeight="1">
      <c r="A36" s="4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4">
        <f>IF(F36&lt;5,0,(IF(F36&gt;=10,1,0.5)))</f>
        <v>0</v>
      </c>
      <c r="I36" s="16">
        <f>IF(OR(V_пр_30_2&gt;0,V_пр_30_5&gt;0,V_пр_30_6&gt;0),1,0)</f>
        <v>0</v>
      </c>
      <c r="J36" s="4"/>
    </row>
    <row r="37" spans="1:10" ht="26.25" customHeight="1">
      <c r="A37" s="4" t="s">
        <v>47</v>
      </c>
      <c r="B37" s="4">
        <v>0</v>
      </c>
      <c r="C37" s="2">
        <v>0.633</v>
      </c>
      <c r="D37" s="4" t="s">
        <v>50</v>
      </c>
      <c r="E37" s="2">
        <v>0.716</v>
      </c>
      <c r="F37" s="4" t="s">
        <v>50</v>
      </c>
      <c r="G37" s="2">
        <f>IF(C37=0,0,E37/C37*100)</f>
        <v>113.11216429699842</v>
      </c>
      <c r="H37" s="14">
        <f>IF(G37&gt;=100,1,0)</f>
        <v>1</v>
      </c>
      <c r="I37" s="16">
        <f>IF(OR(V_пр_31_3&gt;0,V_пр_31_5&gt;0,V_пр_31_7&gt;0),1,0)</f>
        <v>1</v>
      </c>
      <c r="J37" s="4"/>
    </row>
    <row r="38" spans="1:10" ht="15">
      <c r="A38" s="4" t="s">
        <v>48</v>
      </c>
      <c r="B38" s="18" t="s">
        <v>48</v>
      </c>
      <c r="C38" s="18"/>
      <c r="D38" s="18"/>
      <c r="E38" s="18"/>
      <c r="F38" s="18"/>
      <c r="G38" s="18"/>
      <c r="H38" s="13">
        <v>0</v>
      </c>
      <c r="I38" s="16">
        <f>IF(H38&gt;0,1,0)</f>
        <v>0</v>
      </c>
      <c r="J38" s="4"/>
    </row>
    <row r="39" spans="1:10" ht="15.75" customHeight="1">
      <c r="A39" s="4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13">
        <v>0</v>
      </c>
      <c r="I39" s="16">
        <f>IF(OR(V_пр_33_2&gt;0,V_пр_33_3&gt;0,V_пр_33_4&gt;0,V_пр_33_5&gt;0,V_пр_33_6&gt;0,V_пр_33_7&gt;0),1,0)</f>
        <v>0</v>
      </c>
      <c r="J39" s="4"/>
    </row>
    <row r="40" spans="1:10" ht="15.75" customHeight="1">
      <c r="A40" s="4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13">
        <v>0</v>
      </c>
      <c r="I40" s="16">
        <f>IF(OR(V_пр_34_2&gt;0,V_пр_34_3&gt;0,V_пр_34_4&gt;0,V_пр_34_5&gt;0,V_пр_34_6&gt;0,V_пр_34_7&gt;0),1,0)</f>
        <v>0</v>
      </c>
      <c r="J40" s="4"/>
    </row>
    <row r="41" spans="1:10" ht="15.75" customHeight="1">
      <c r="A41" s="4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13">
        <v>0</v>
      </c>
      <c r="I41" s="16">
        <f>IF(OR(V_пр_35_2&gt;0,V_пр_35_3&gt;0,V_пр_35_4&gt;0,V_пр_35_5&gt;0,V_пр_35_6&gt;0,V_пр_35_7&gt;0),1,0)</f>
        <v>0</v>
      </c>
      <c r="J41" s="4"/>
    </row>
    <row r="42" spans="1:10" ht="15.75" customHeight="1">
      <c r="A42" s="4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13">
        <v>0</v>
      </c>
      <c r="I42" s="16">
        <f>IF(OR(V_пр_36_2&gt;0,V_пр_36_3&gt;0,V_пр_36_4&gt;0,V_пр_36_5&gt;0,V_пр_36_6&gt;0,V_пр_36_7&gt;0),1,0)</f>
        <v>0</v>
      </c>
      <c r="J42" s="4"/>
    </row>
    <row r="43" spans="1:10" ht="15.75" customHeight="1">
      <c r="A43" s="4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13">
        <v>0</v>
      </c>
      <c r="I43" s="16">
        <f>IF(OR(V_пр_37_2&gt;0,V_пр_37_3&gt;0,V_пр_37_4&gt;0,V_пр_37_5&gt;0,V_пр_37_6&gt;0,V_пр_37_7&gt;0),1,0)</f>
        <v>0</v>
      </c>
      <c r="J43" s="4"/>
    </row>
    <row r="44" spans="1:10" ht="15.75" customHeight="1">
      <c r="A44" s="4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13">
        <v>0</v>
      </c>
      <c r="I44" s="16">
        <f>IF(OR(V_пр_38_2&gt;0,V_пр_38_3&gt;0,V_пр_38_4&gt;0,V_пр_38_5&gt;0,V_пр_38_6&gt;0,V_пр_38_7&gt;0),1,0)</f>
        <v>0</v>
      </c>
      <c r="J44" s="4"/>
    </row>
    <row r="45" spans="1:10" ht="15.75" customHeight="1">
      <c r="A45" s="4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13">
        <v>0</v>
      </c>
      <c r="I45" s="16">
        <f>IF(OR(V_пр_39_2&gt;0,V_пр_39_3&gt;0,V_пр_39_4&gt;0,V_пр_39_5&gt;0,V_пр_39_6&gt;0,V_пр_39_7&gt;0),1,0)</f>
        <v>0</v>
      </c>
      <c r="J45" s="4"/>
    </row>
    <row r="46" spans="1:10" ht="15">
      <c r="A46" s="4"/>
      <c r="B46" s="18" t="s">
        <v>54</v>
      </c>
      <c r="C46" s="18"/>
      <c r="D46" s="18"/>
      <c r="E46" s="18"/>
      <c r="F46" s="18"/>
      <c r="G46" s="18"/>
      <c r="H46" s="13">
        <f>V_пр_32_8+V_пр_26_8+V_пр_18_8+V_пр_1_8</f>
        <v>24.5</v>
      </c>
      <c r="I46" s="16">
        <f>IF(H46&gt;0,1,0)</f>
        <v>1</v>
      </c>
      <c r="J46" s="4"/>
    </row>
    <row r="47" spans="1:10" ht="0.75" customHeight="1">
      <c r="A47" s="1"/>
      <c r="B47" s="6"/>
      <c r="C47" s="6"/>
      <c r="D47" s="6"/>
      <c r="E47" s="6"/>
      <c r="F47" s="6"/>
      <c r="G47" s="6"/>
      <c r="H47" s="15"/>
      <c r="I47" s="6"/>
      <c r="J47" s="7"/>
    </row>
    <row r="48" ht="0.75" customHeight="1"/>
    <row r="49" spans="1:11" ht="86.25" customHeight="1">
      <c r="A49" s="19" t="s">
        <v>56</v>
      </c>
      <c r="B49" s="19" t="s">
        <v>56</v>
      </c>
      <c r="C49" s="19" t="s">
        <v>56</v>
      </c>
      <c r="D49" s="19" t="s">
        <v>56</v>
      </c>
      <c r="E49" s="19" t="s">
        <v>56</v>
      </c>
      <c r="F49" s="19" t="s">
        <v>56</v>
      </c>
      <c r="G49" s="19" t="s">
        <v>56</v>
      </c>
      <c r="H49" s="19" t="s">
        <v>56</v>
      </c>
      <c r="I49" s="19" t="s">
        <v>56</v>
      </c>
      <c r="J49" s="19" t="s">
        <v>56</v>
      </c>
      <c r="K49" s="19" t="s">
        <v>56</v>
      </c>
    </row>
    <row r="50" spans="1:11" ht="16.5" customHeight="1">
      <c r="A50" s="19" t="s">
        <v>57</v>
      </c>
      <c r="B50" s="19" t="s">
        <v>57</v>
      </c>
      <c r="C50" s="19" t="s">
        <v>57</v>
      </c>
      <c r="D50" s="19" t="s">
        <v>57</v>
      </c>
      <c r="E50" s="19" t="s">
        <v>57</v>
      </c>
      <c r="F50" s="19" t="s">
        <v>57</v>
      </c>
      <c r="G50" s="19" t="s">
        <v>57</v>
      </c>
      <c r="H50" s="19" t="s">
        <v>57</v>
      </c>
      <c r="I50" s="19" t="s">
        <v>57</v>
      </c>
      <c r="J50" s="19" t="s">
        <v>57</v>
      </c>
      <c r="K50" s="19" t="s">
        <v>57</v>
      </c>
    </row>
  </sheetData>
  <sheetProtection/>
  <mergeCells count="9">
    <mergeCell ref="B38:G38"/>
    <mergeCell ref="B46:G46"/>
    <mergeCell ref="A49:K49"/>
    <mergeCell ref="A50:K50"/>
    <mergeCell ref="A2:K2"/>
    <mergeCell ref="A3:K3"/>
    <mergeCell ref="B7:G7"/>
    <mergeCell ref="B24:G24"/>
    <mergeCell ref="B32:G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dcterms:created xsi:type="dcterms:W3CDTF">2022-06-27T03:43:26Z</dcterms:created>
  <dcterms:modified xsi:type="dcterms:W3CDTF">2022-10-12T10:25:34Z</dcterms:modified>
  <cp:category/>
  <cp:version/>
  <cp:contentType/>
  <cp:contentStatus/>
</cp:coreProperties>
</file>